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41aa93cad1be508/Laskurit/Kotisivulaskurit/"/>
    </mc:Choice>
  </mc:AlternateContent>
  <xr:revisionPtr revIDLastSave="3" documentId="8_{8A674F37-F799-1243-B447-31BD80C739D8}" xr6:coauthVersionLast="47" xr6:coauthVersionMax="47" xr10:uidLastSave="{EE4C5E74-B675-2847-95F5-2A8B5BF03ACE}"/>
  <workbookProtection workbookAlgorithmName="SHA-512" workbookHashValue="FT4o2s9pWNtM62idQYa7S6+nAUVcv/iiHJeDd4pd+84PDRXzduzgfLmDYbZiBIuPPFQwQWaMm708mO4ahLvNhg==" workbookSaltValue="+/EtDmQKNU6PbuvJhlPNxw==" workbookSpinCount="100000" lockStructure="1"/>
  <bookViews>
    <workbookView xWindow="0" yWindow="500" windowWidth="40960" windowHeight="20840" xr2:uid="{26893E60-D3B7-D649-A112-EFBF6272C059}"/>
  </bookViews>
  <sheets>
    <sheet name="Taul1" sheetId="1" r:id="rId1"/>
    <sheet name="Tau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B6" i="2"/>
  <c r="C6" i="2" s="1"/>
  <c r="B23" i="1" s="1"/>
  <c r="A28" i="2"/>
  <c r="E21" i="2"/>
  <c r="A20" i="1"/>
  <c r="B53" i="2"/>
  <c r="A57" i="2" s="1"/>
  <c r="B54" i="2"/>
  <c r="A54" i="2"/>
  <c r="A53" i="2"/>
  <c r="B50" i="2"/>
  <c r="B49" i="2"/>
  <c r="N1" i="2" s="1"/>
  <c r="O1" i="2" s="1"/>
  <c r="B22" i="1"/>
  <c r="A22" i="1"/>
  <c r="D22" i="2"/>
  <c r="D20" i="2"/>
  <c r="A14" i="1"/>
  <c r="B5" i="2"/>
  <c r="A46" i="1" l="1"/>
  <c r="D54" i="2"/>
  <c r="D55" i="2"/>
  <c r="A55" i="2" s="1"/>
  <c r="A43" i="1" s="1"/>
  <c r="A51" i="2"/>
  <c r="A37" i="1" s="1"/>
  <c r="B51" i="2"/>
  <c r="B57" i="2"/>
  <c r="D6" i="2"/>
  <c r="D3" i="2"/>
  <c r="D7" i="2"/>
  <c r="D4" i="2"/>
  <c r="D1" i="2"/>
  <c r="D2" i="2"/>
  <c r="B4" i="2"/>
  <c r="B7" i="2"/>
  <c r="D5" i="2"/>
  <c r="B3" i="2"/>
  <c r="A29" i="2" s="1"/>
  <c r="B2" i="2"/>
  <c r="H9" i="2" s="1"/>
  <c r="A10" i="2" l="1"/>
  <c r="A9" i="1" s="1"/>
  <c r="B55" i="2"/>
  <c r="B43" i="1" s="1"/>
  <c r="B46" i="1"/>
  <c r="H21" i="2"/>
  <c r="E19" i="2"/>
  <c r="B37" i="1"/>
  <c r="B15" i="2"/>
  <c r="B14" i="1" s="1"/>
  <c r="B10" i="2"/>
  <c r="A30" i="2"/>
  <c r="B48" i="2" l="1"/>
  <c r="A44" i="2" a="1"/>
  <c r="A44" i="2" s="1"/>
  <c r="C22" i="2" s="1"/>
  <c r="A45" i="2" a="1"/>
  <c r="A45" i="2" s="1"/>
  <c r="A23" i="2" s="1"/>
  <c r="B11" i="2"/>
  <c r="A11" i="2"/>
  <c r="A10" i="1" s="1"/>
  <c r="B9" i="1"/>
  <c r="A32" i="2" a="1"/>
  <c r="A32" i="2" s="1"/>
  <c r="D13" i="2" s="1"/>
  <c r="B13" i="2" s="1"/>
  <c r="B12" i="1" s="1"/>
  <c r="A38" i="2" a="1"/>
  <c r="A38" i="2" s="1"/>
  <c r="A42" i="2" a="1"/>
  <c r="A42" i="2" s="1"/>
  <c r="F17" i="2" s="1"/>
  <c r="A40" i="2" a="1"/>
  <c r="A40" i="2" s="1"/>
  <c r="A35" i="2" a="1"/>
  <c r="A35" i="2" s="1"/>
  <c r="A43" i="2" a="1"/>
  <c r="A43" i="2" s="1"/>
  <c r="A41" i="2" a="1"/>
  <c r="A41" i="2" s="1"/>
  <c r="A39" i="2" a="1"/>
  <c r="A39" i="2" s="1"/>
  <c r="A36" i="2" a="1"/>
  <c r="A36" i="2" s="1"/>
  <c r="D21" i="2" s="1"/>
  <c r="A34" i="2" a="1"/>
  <c r="A34" i="2" s="1"/>
  <c r="A37" i="2" a="1"/>
  <c r="A37" i="2" s="1"/>
  <c r="A33" i="2" a="1"/>
  <c r="A33" i="2" s="1"/>
  <c r="A31" i="2" a="1"/>
  <c r="A31" i="2" s="1"/>
  <c r="A19" i="2" s="1"/>
  <c r="E12" i="2" l="1"/>
  <c r="F20" i="2" s="1"/>
  <c r="G20" i="2" s="1"/>
  <c r="H14" i="2"/>
  <c r="F16" i="2"/>
  <c r="A22" i="2"/>
  <c r="A27" i="1" s="1"/>
  <c r="J22" i="2"/>
  <c r="I21" i="2"/>
  <c r="F21" i="2"/>
  <c r="G21" i="2" s="1"/>
  <c r="B21" i="2" s="1"/>
  <c r="C8" i="2"/>
  <c r="C19" i="2"/>
  <c r="J19" i="2" s="1"/>
  <c r="A28" i="1"/>
  <c r="C23" i="2"/>
  <c r="J23" i="2" s="1"/>
  <c r="C21" i="2"/>
  <c r="B23" i="2"/>
  <c r="B28" i="1" s="1"/>
  <c r="A13" i="2"/>
  <c r="A12" i="1" s="1"/>
  <c r="A24" i="1"/>
  <c r="B10" i="1"/>
  <c r="D19" i="2"/>
  <c r="B22" i="2"/>
  <c r="B27" i="1" s="1"/>
  <c r="I15" i="2" l="1"/>
  <c r="E20" i="2"/>
  <c r="I14" i="2"/>
  <c r="A21" i="2"/>
  <c r="A26" i="1" s="1"/>
  <c r="J21" i="2"/>
  <c r="B26" i="1"/>
  <c r="B19" i="2"/>
  <c r="B24" i="1" s="1"/>
  <c r="B12" i="2"/>
  <c r="A12" i="2"/>
  <c r="A11" i="1" s="1"/>
  <c r="H20" i="2"/>
  <c r="J20" i="2" s="1"/>
  <c r="A17" i="2" l="1"/>
  <c r="A30" i="1" s="1"/>
  <c r="A16" i="2"/>
  <c r="A15" i="1" s="1"/>
  <c r="J24" i="2"/>
  <c r="A58" i="2" s="1"/>
  <c r="B20" i="2"/>
  <c r="C20" i="2"/>
  <c r="B11" i="1"/>
  <c r="A14" i="2"/>
  <c r="A13" i="1" s="1"/>
  <c r="B14" i="2"/>
  <c r="B56" i="2" l="1"/>
  <c r="A52" i="2"/>
  <c r="B52" i="2"/>
  <c r="A56" i="2"/>
  <c r="B58" i="2"/>
  <c r="B13" i="1"/>
  <c r="B16" i="2"/>
  <c r="B30" i="1" s="1"/>
  <c r="B25" i="1"/>
  <c r="B29" i="1" s="1"/>
  <c r="I16" i="2"/>
  <c r="A20" i="2" s="1"/>
  <c r="A25" i="1" s="1"/>
  <c r="C24" i="2"/>
  <c r="C47" i="2" s="1"/>
  <c r="B32" i="1" l="1"/>
  <c r="B38" i="1"/>
  <c r="B39" i="1" s="1"/>
  <c r="A47" i="1"/>
  <c r="A44" i="1"/>
  <c r="B47" i="1"/>
  <c r="B48" i="1" s="1"/>
  <c r="B44" i="1"/>
  <c r="B45" i="1" s="1"/>
  <c r="A38" i="1"/>
  <c r="C55" i="2"/>
  <c r="C57" i="2"/>
  <c r="B15" i="1"/>
  <c r="B3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<sst xmlns="http://schemas.openxmlformats.org/spreadsheetml/2006/main" count="61" uniqueCount="52">
  <si>
    <t>Työntekijän nimi</t>
  </si>
  <si>
    <t>Työntekijän syntymäaika</t>
  </si>
  <si>
    <t>Palkka</t>
  </si>
  <si>
    <t>Ennakonpidätys %</t>
  </si>
  <si>
    <t>Palkanmaksupäivä</t>
  </si>
  <si>
    <t>17 v</t>
  </si>
  <si>
    <t>52 v.</t>
  </si>
  <si>
    <t>62v.</t>
  </si>
  <si>
    <t>67 v.</t>
  </si>
  <si>
    <t>16 v.</t>
  </si>
  <si>
    <t>18 v.</t>
  </si>
  <si>
    <t>64 v.</t>
  </si>
  <si>
    <t>Sairausvakuutusmaksu</t>
  </si>
  <si>
    <t>Sairausvakuutusmaksu %</t>
  </si>
  <si>
    <t>Palkansaajan työttömyysvakuutusmaksu</t>
  </si>
  <si>
    <t>Ns. osaomistajan työttömyysvakuutusmaksu</t>
  </si>
  <si>
    <t>Työnantajan työttömyysvakuutusmaksu alla olevaan palkkarajaan asti</t>
  </si>
  <si>
    <t>Palkkasumma, jonka ylittävästä palkkasummasta korotettu maksuprosentti</t>
  </si>
  <si>
    <t>Työnantajan työttömyysvakuutusmaksu palkkarajan ylittävä palkkasummasta</t>
  </si>
  <si>
    <t>Työnantajan työttömyysvakuutusmaksu osaomistajan palkasta</t>
  </si>
  <si>
    <t>17 – 52-vuotias</t>
  </si>
  <si>
    <t>53 – 62 -vuotias</t>
  </si>
  <si>
    <t>63 – 67 – vuotias</t>
  </si>
  <si>
    <t>Tilapäisen työnantajan maksu</t>
  </si>
  <si>
    <t>Työnantajien perusmaksu (ilman alennuksia)</t>
  </si>
  <si>
    <t>Työnantajien keskimääräinen maksuosuus</t>
  </si>
  <si>
    <t>Rahapalkka</t>
  </si>
  <si>
    <t>Rahapalkka (, josta vähennykset tehdään)</t>
  </si>
  <si>
    <t>Työntekijälle maksettava palkka</t>
  </si>
  <si>
    <t>Ennakonpidätys (%)</t>
  </si>
  <si>
    <t>Ryhmähenkivakuutusmaksu</t>
  </si>
  <si>
    <t>Tapaturmavakuutusmaksu</t>
  </si>
  <si>
    <t>Työnantajan koko vuoden palkkasumma (työttömyysvakuutusmaksu)</t>
  </si>
  <si>
    <t>Sopimustyönantaja vai tilapäinen työnantaja (eläkevakuutusmaksu)</t>
  </si>
  <si>
    <t>Työnantajan palkkakustannukset yhteensä</t>
  </si>
  <si>
    <t>Työntekijän nettopalkka työnantajan kokonaispalkkakustannuksista</t>
  </si>
  <si>
    <t>Lomakorvaus kuukausipalkkaiselle</t>
  </si>
  <si>
    <t>Ansaittujen lomapäivien lukumäärä</t>
  </si>
  <si>
    <t>Kuukausipalkka</t>
  </si>
  <si>
    <t>Työnantajan sosiaalivakuutusmaksut yhteensä</t>
  </si>
  <si>
    <t>Ei eläkevakuutusmaksua</t>
  </si>
  <si>
    <t>Kokonaispalkkakustannusten ja työntekijän nettopalkan erotus</t>
  </si>
  <si>
    <t>Työnantajan kokonaiskustannukset lomakorvauksen osuudesta</t>
  </si>
  <si>
    <t>Tehtyjen työpäivien lukumäärä työsuhteen ajalta (loman ansaintasääntö 14 päivää)</t>
  </si>
  <si>
    <t>Tuntipalkka (Huom! prosenttiperusteinen lomakorvaus myös silloin, kun lomaa ei ole ansaittu )</t>
  </si>
  <si>
    <t>Luontoisetujen kustannukset (esim. ravintoetujen nimellisarvot 13,7 €/kpl)</t>
  </si>
  <si>
    <t>Luontoisedut (verotusarvojen yhteismäärä, esim ravintoetu 8,6 €/kpl)</t>
  </si>
  <si>
    <t>Työsuhteen ajalta ansaittu palkkasumma</t>
  </si>
  <si>
    <t>Työnantajan palkkakustannukset</t>
  </si>
  <si>
    <t>Työnantajan palkkakustannukset (laskelmaa varten tarvittavat tiedot)</t>
  </si>
  <si>
    <t>Työnantajan palkkakustannukset (keskimääräiset)</t>
  </si>
  <si>
    <t>Lomakorvaus lyhyen työsuhteen päättyessä (lisättävä kokonaispalkkakustannuksiin)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</si>
</sst>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>
    <font>
      <sz val="12"/>
      <color theme="1"/>
      <name val="Aptos Narrow"/>
      <family val="2"/>
      <scheme val="minor"/>
    </font>
    <font>
      <sz val="14"/>
      <color rgb="FF000000"/>
      <name val="-webkit-standard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scheme val="minor"/>
    </font>
    <font>
      <sz val="10"/>
      <color theme="1"/>
      <name val="Aptos Narrow"/>
      <scheme val="minor"/>
    </font>
    <font>
      <b/>
      <sz val="12"/>
      <color theme="1"/>
      <name val="Aptos Narrow"/>
      <scheme val="minor"/>
    </font>
    <font>
      <b/>
      <sz val="12"/>
      <color rgb="FF002060"/>
      <name val="Aptos Narrow"/>
      <scheme val="minor"/>
    </font>
    <font>
      <b/>
      <sz val="12"/>
      <color theme="0"/>
      <name val="Aptos Narrow"/>
      <family val="2"/>
      <scheme val="minor"/>
    </font>
    <font>
      <b/>
      <sz val="12"/>
      <color theme="0"/>
      <name val="Aptos Narrow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6E003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14" fontId="0" fillId="0" borderId="0" xfId="0" applyNumberFormat="1"/>
    <xf numFmtId="0" fontId="0" fillId="0" borderId="0" xfId="0" quotePrefix="1"/>
    <xf numFmtId="0" fontId="1" fillId="0" borderId="0" xfId="0" applyFont="1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14" fontId="5" fillId="0" borderId="0" xfId="0" applyNumberFormat="1" applyFont="1"/>
    <xf numFmtId="2" fontId="5" fillId="0" borderId="0" xfId="0" applyNumberFormat="1" applyFont="1"/>
    <xf numFmtId="17" fontId="4" fillId="0" borderId="0" xfId="0" applyNumberFormat="1" applyFont="1"/>
    <xf numFmtId="2" fontId="4" fillId="0" borderId="0" xfId="0" applyNumberFormat="1" applyFont="1"/>
    <xf numFmtId="1" fontId="0" fillId="0" borderId="0" xfId="0" applyNumberFormat="1"/>
    <xf numFmtId="0" fontId="6" fillId="0" borderId="0" xfId="0" applyFont="1"/>
    <xf numFmtId="43" fontId="0" fillId="0" borderId="0" xfId="0" applyNumberFormat="1"/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6" fillId="8" borderId="1" xfId="0" applyFont="1" applyFill="1" applyBorder="1"/>
    <xf numFmtId="0" fontId="0" fillId="11" borderId="0" xfId="0" applyFill="1"/>
    <xf numFmtId="0" fontId="6" fillId="0" borderId="2" xfId="0" applyFont="1" applyBorder="1"/>
    <xf numFmtId="0" fontId="0" fillId="3" borderId="0" xfId="0" applyFill="1"/>
    <xf numFmtId="0" fontId="6" fillId="8" borderId="1" xfId="0" applyFont="1" applyFill="1" applyBorder="1" applyProtection="1">
      <protection hidden="1"/>
    </xf>
    <xf numFmtId="0" fontId="9" fillId="9" borderId="1" xfId="0" applyFont="1" applyFill="1" applyBorder="1" applyProtection="1">
      <protection hidden="1"/>
    </xf>
    <xf numFmtId="4" fontId="9" fillId="9" borderId="1" xfId="0" applyNumberFormat="1" applyFont="1" applyFill="1" applyBorder="1" applyProtection="1">
      <protection hidden="1"/>
    </xf>
    <xf numFmtId="0" fontId="9" fillId="10" borderId="1" xfId="0" applyFont="1" applyFill="1" applyBorder="1" applyProtection="1">
      <protection hidden="1"/>
    </xf>
    <xf numFmtId="4" fontId="9" fillId="10" borderId="1" xfId="0" applyNumberFormat="1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8" fillId="10" borderId="1" xfId="0" applyFont="1" applyFill="1" applyBorder="1" applyProtection="1">
      <protection hidden="1"/>
    </xf>
    <xf numFmtId="4" fontId="8" fillId="10" borderId="1" xfId="0" applyNumberFormat="1" applyFont="1" applyFill="1" applyBorder="1" applyProtection="1">
      <protection hidden="1"/>
    </xf>
    <xf numFmtId="164" fontId="0" fillId="0" borderId="1" xfId="1" applyNumberFormat="1" applyFont="1" applyBorder="1" applyProtection="1">
      <protection hidden="1"/>
    </xf>
    <xf numFmtId="4" fontId="0" fillId="0" borderId="1" xfId="0" applyNumberFormat="1" applyBorder="1" applyProtection="1">
      <protection hidden="1"/>
    </xf>
    <xf numFmtId="0" fontId="0" fillId="8" borderId="1" xfId="0" applyFill="1" applyBorder="1" applyProtection="1">
      <protection hidden="1"/>
    </xf>
    <xf numFmtId="0" fontId="0" fillId="5" borderId="1" xfId="0" applyFill="1" applyBorder="1" applyProtection="1">
      <protection hidden="1"/>
    </xf>
    <xf numFmtId="4" fontId="0" fillId="5" borderId="1" xfId="0" applyNumberFormat="1" applyFill="1" applyBorder="1" applyProtection="1">
      <protection hidden="1"/>
    </xf>
    <xf numFmtId="0" fontId="6" fillId="5" borderId="1" xfId="0" applyFont="1" applyFill="1" applyBorder="1" applyProtection="1">
      <protection hidden="1"/>
    </xf>
    <xf numFmtId="4" fontId="6" fillId="5" borderId="1" xfId="0" applyNumberFormat="1" applyFont="1" applyFill="1" applyBorder="1" applyProtection="1">
      <protection hidden="1"/>
    </xf>
    <xf numFmtId="0" fontId="0" fillId="6" borderId="1" xfId="0" applyFill="1" applyBorder="1" applyProtection="1">
      <protection hidden="1"/>
    </xf>
    <xf numFmtId="4" fontId="0" fillId="6" borderId="1" xfId="0" applyNumberFormat="1" applyFill="1" applyBorder="1" applyProtection="1">
      <protection hidden="1"/>
    </xf>
    <xf numFmtId="0" fontId="6" fillId="6" borderId="1" xfId="0" applyFont="1" applyFill="1" applyBorder="1" applyProtection="1">
      <protection hidden="1"/>
    </xf>
    <xf numFmtId="4" fontId="6" fillId="6" borderId="1" xfId="0" applyNumberFormat="1" applyFont="1" applyFill="1" applyBorder="1" applyProtection="1">
      <protection hidden="1"/>
    </xf>
    <xf numFmtId="0" fontId="0" fillId="7" borderId="1" xfId="0" applyFill="1" applyBorder="1" applyProtection="1">
      <protection hidden="1"/>
    </xf>
    <xf numFmtId="4" fontId="0" fillId="7" borderId="1" xfId="0" applyNumberFormat="1" applyFill="1" applyBorder="1" applyProtection="1">
      <protection hidden="1"/>
    </xf>
    <xf numFmtId="0" fontId="6" fillId="7" borderId="1" xfId="0" applyFont="1" applyFill="1" applyBorder="1" applyProtection="1">
      <protection hidden="1"/>
    </xf>
    <xf numFmtId="4" fontId="6" fillId="7" borderId="1" xfId="0" applyNumberFormat="1" applyFont="1" applyFill="1" applyBorder="1" applyProtection="1">
      <protection hidden="1"/>
    </xf>
    <xf numFmtId="14" fontId="6" fillId="8" borderId="1" xfId="0" applyNumberFormat="1" applyFont="1" applyFill="1" applyBorder="1" applyAlignment="1" applyProtection="1">
      <alignment horizontal="center"/>
      <protection locked="0"/>
    </xf>
    <xf numFmtId="43" fontId="6" fillId="8" borderId="1" xfId="1" applyFont="1" applyFill="1" applyBorder="1" applyAlignment="1" applyProtection="1">
      <alignment vertical="center"/>
      <protection locked="0"/>
    </xf>
    <xf numFmtId="43" fontId="6" fillId="8" borderId="1" xfId="1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43" fontId="6" fillId="8" borderId="1" xfId="1" applyFont="1" applyFill="1" applyBorder="1" applyProtection="1">
      <protection locked="0"/>
    </xf>
    <xf numFmtId="0" fontId="6" fillId="8" borderId="1" xfId="0" applyFont="1" applyFill="1" applyBorder="1" applyProtection="1">
      <protection locked="0"/>
    </xf>
    <xf numFmtId="2" fontId="6" fillId="8" borderId="1" xfId="0" applyNumberFormat="1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4" fontId="0" fillId="8" borderId="1" xfId="0" applyNumberFormat="1" applyFill="1" applyBorder="1" applyProtection="1">
      <protection locked="0"/>
    </xf>
    <xf numFmtId="3" fontId="0" fillId="8" borderId="1" xfId="0" applyNumberForma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colors>
    <mruColors>
      <color rgb="FF6E0035"/>
      <color rgb="FF941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4552-25E7-BF47-A62E-C55E0FE10691}">
  <dimension ref="A1:E48"/>
  <sheetViews>
    <sheetView showGridLines="0" showRowColHeaders="0" tabSelected="1" zoomScale="160" zoomScaleNormal="160" workbookViewId="0">
      <selection activeCell="B2" sqref="B2"/>
    </sheetView>
  </sheetViews>
  <sheetFormatPr baseColWidth="10" defaultRowHeight="16"/>
  <cols>
    <col min="1" max="1" width="71" customWidth="1"/>
    <col min="2" max="2" width="18.6640625" customWidth="1"/>
  </cols>
  <sheetData>
    <row r="1" spans="1:5">
      <c r="A1" s="59" t="s">
        <v>48</v>
      </c>
      <c r="B1" s="59"/>
    </row>
    <row r="2" spans="1:5">
      <c r="A2" s="26" t="s">
        <v>1</v>
      </c>
      <c r="B2" s="49"/>
      <c r="D2" s="1"/>
      <c r="E2" s="1"/>
    </row>
    <row r="3" spans="1:5">
      <c r="A3" s="26" t="s">
        <v>4</v>
      </c>
      <c r="B3" s="49"/>
      <c r="D3" s="1"/>
      <c r="E3" s="1"/>
    </row>
    <row r="4" spans="1:5">
      <c r="A4" s="26" t="s">
        <v>26</v>
      </c>
      <c r="B4" s="50"/>
      <c r="D4" s="1"/>
      <c r="E4" s="1"/>
    </row>
    <row r="5" spans="1:5">
      <c r="A5" s="26" t="s">
        <v>46</v>
      </c>
      <c r="B5" s="51"/>
      <c r="D5" s="1"/>
      <c r="E5" s="1"/>
    </row>
    <row r="6" spans="1:5">
      <c r="A6" s="26" t="s">
        <v>45</v>
      </c>
      <c r="B6" s="53"/>
      <c r="D6" s="1"/>
      <c r="E6" s="1"/>
    </row>
    <row r="7" spans="1:5">
      <c r="A7" s="26" t="s">
        <v>29</v>
      </c>
      <c r="B7" s="52"/>
      <c r="D7" s="1"/>
      <c r="E7" s="1"/>
    </row>
    <row r="8" spans="1:5">
      <c r="A8" s="59" t="s">
        <v>28</v>
      </c>
      <c r="B8" s="59"/>
      <c r="D8" s="1"/>
      <c r="E8" s="1"/>
    </row>
    <row r="9" spans="1:5">
      <c r="A9" s="27" t="str">
        <f>Taul2!A10</f>
        <v>Ennakonpidätyksen alainen palkka (= 0 + 0)</v>
      </c>
      <c r="B9" s="28">
        <f>Taul2!B10</f>
        <v>0</v>
      </c>
    </row>
    <row r="10" spans="1:5">
      <c r="A10" s="27" t="str">
        <f>Taul2!A11</f>
        <v>./. Ennakonpidätys (= 0 * 0)</v>
      </c>
      <c r="B10" s="28">
        <f>Taul2!B11</f>
        <v>0</v>
      </c>
    </row>
    <row r="11" spans="1:5">
      <c r="A11" s="27" t="str">
        <f>Taul2!A12</f>
        <v>./. Eläkemaksu (= 0 * 0)</v>
      </c>
      <c r="B11" s="28">
        <f>Taul2!B12</f>
        <v>0</v>
      </c>
    </row>
    <row r="12" spans="1:5">
      <c r="A12" s="27" t="str">
        <f>Taul2!A13</f>
        <v>./. Työttömyysvakuutusmaksu (= 0 * 0)</v>
      </c>
      <c r="B12" s="28">
        <f>Taul2!B13</f>
        <v>0</v>
      </c>
    </row>
    <row r="13" spans="1:5">
      <c r="A13" s="27" t="str">
        <f>Taul2!A14</f>
        <v>= Vähennykset yhteensä (= 0 + 0 + 0)</v>
      </c>
      <c r="B13" s="28">
        <f>Taul2!B14</f>
        <v>0</v>
      </c>
    </row>
    <row r="14" spans="1:5">
      <c r="A14" s="27" t="str">
        <f>Taul2!A15</f>
        <v>Rahapalkka (, josta vähennykset tehdään)</v>
      </c>
      <c r="B14" s="28">
        <f>Taul2!B15</f>
        <v>0</v>
      </c>
    </row>
    <row r="15" spans="1:5">
      <c r="A15" s="29" t="str">
        <f>Taul2!A16</f>
        <v>Ei rahapalkkaa</v>
      </c>
      <c r="B15" s="30">
        <f>Taul2!B16</f>
        <v>0</v>
      </c>
    </row>
    <row r="16" spans="1:5">
      <c r="A16" s="31"/>
      <c r="B16" s="31"/>
    </row>
    <row r="17" spans="1:5">
      <c r="A17" s="61" t="s">
        <v>49</v>
      </c>
      <c r="B17" s="61"/>
    </row>
    <row r="18" spans="1:5">
      <c r="A18" s="26" t="s">
        <v>32</v>
      </c>
      <c r="B18" s="53"/>
    </row>
    <row r="19" spans="1:5">
      <c r="A19" s="26" t="s">
        <v>33</v>
      </c>
      <c r="B19" s="54">
        <v>1</v>
      </c>
    </row>
    <row r="20" spans="1:5">
      <c r="A20" s="26" t="str">
        <f>IF(OR(B20=0,B20=""),CONCATENATE("Työtapaturmavakuutusmaksu % (syötä, jos tiedät omasi, muuten oletus 0,54 %)"),"Työttömyysvakuutusmaksu %")</f>
        <v>Työtapaturmavakuutusmaksu % (syötä, jos tiedät omasi, muuten oletus 0,54 %)</v>
      </c>
      <c r="B20" s="55"/>
    </row>
    <row r="21" spans="1:5">
      <c r="A21" s="62" t="s">
        <v>50</v>
      </c>
      <c r="B21" s="62"/>
      <c r="E21" s="14"/>
    </row>
    <row r="22" spans="1:5">
      <c r="A22" s="27" t="str">
        <f>A4</f>
        <v>Rahapalkka</v>
      </c>
      <c r="B22" s="28">
        <f>B4</f>
        <v>0</v>
      </c>
    </row>
    <row r="23" spans="1:5">
      <c r="A23" s="27" t="str">
        <f>IF(OR(B6=0,B6=""),"Luontoisedut (verotusarvot)","Luontoisedut (kustannukset)")</f>
        <v>Luontoisedut (verotusarvot)</v>
      </c>
      <c r="B23" s="28">
        <f>Taul2!C6</f>
        <v>0</v>
      </c>
    </row>
    <row r="24" spans="1:5">
      <c r="A24" s="27" t="str">
        <f>Taul2!A19</f>
        <v>Ei sairausvakuutusmaksua</v>
      </c>
      <c r="B24" s="28">
        <f>Taul2!B19</f>
        <v>0</v>
      </c>
    </row>
    <row r="25" spans="1:5">
      <c r="A25" s="27" t="str">
        <f>Taul2!A20</f>
        <v>Ei eläkevakuutusmaksua</v>
      </c>
      <c r="B25" s="28">
        <f>Taul2!B20</f>
        <v>0</v>
      </c>
    </row>
    <row r="26" spans="1:5">
      <c r="A26" s="27" t="str">
        <f>Taul2!A21</f>
        <v>Ei työttömyysvakuutusmaksua</v>
      </c>
      <c r="B26" s="28">
        <f>Taul2!B21</f>
        <v>0</v>
      </c>
    </row>
    <row r="27" spans="1:5">
      <c r="A27" s="27" t="str">
        <f ca="1">Taul2!A22</f>
        <v>Työtapaturmavakuutusmaksu (= 0 * 0,54 %)</v>
      </c>
      <c r="B27" s="28">
        <f ca="1">Taul2!B22</f>
        <v>0</v>
      </c>
    </row>
    <row r="28" spans="1:5">
      <c r="A28" s="27" t="str">
        <f ca="1">Taul2!A23</f>
        <v>Ryhmähenkivakuutusmaksu (= 0 * 0,06 %)</v>
      </c>
      <c r="B28" s="28">
        <f ca="1">Taul2!B23</f>
        <v>0</v>
      </c>
    </row>
    <row r="29" spans="1:5">
      <c r="A29" s="32" t="s">
        <v>34</v>
      </c>
      <c r="B29" s="33">
        <f ca="1">SUM(B22:B28)</f>
        <v>0</v>
      </c>
    </row>
    <row r="30" spans="1:5">
      <c r="A30" s="31" t="str">
        <f>Taul2!A17</f>
        <v>Ei rahapalkkaa</v>
      </c>
      <c r="B30" s="34">
        <f>Taul2!B16</f>
        <v>0</v>
      </c>
    </row>
    <row r="31" spans="1:5">
      <c r="A31" s="31" t="s">
        <v>41</v>
      </c>
      <c r="B31" s="35">
        <f ca="1">B29-B30</f>
        <v>0</v>
      </c>
    </row>
    <row r="32" spans="1:5">
      <c r="A32" s="31" t="s">
        <v>35</v>
      </c>
      <c r="B32" s="31">
        <f ca="1">IFERROR(ROUND(100*B30/B29,2),0)</f>
        <v>0</v>
      </c>
    </row>
    <row r="33" spans="1:2" ht="26" customHeight="1">
      <c r="A33" s="60" t="s">
        <v>51</v>
      </c>
      <c r="B33" s="60"/>
    </row>
    <row r="34" spans="1:2">
      <c r="A34" s="36" t="s">
        <v>37</v>
      </c>
      <c r="B34" s="56"/>
    </row>
    <row r="35" spans="1:2">
      <c r="A35" s="59" t="s">
        <v>38</v>
      </c>
      <c r="B35" s="59"/>
    </row>
    <row r="36" spans="1:2">
      <c r="A36" s="36" t="s">
        <v>38</v>
      </c>
      <c r="B36" s="57"/>
    </row>
    <row r="37" spans="1:2">
      <c r="A37" s="37" t="str">
        <f>Taul2!A51</f>
        <v>Lomakorvaus kuukausipalkkaiselle (= 0 * 0 / 25)</v>
      </c>
      <c r="B37" s="38">
        <f>Taul2!B51</f>
        <v>0</v>
      </c>
    </row>
    <row r="38" spans="1:2">
      <c r="A38" s="37" t="str">
        <f ca="1">Taul2!A52</f>
        <v>Työnantajan sosiaalivakuutusmaksut lomakorvauksesta (= 0 * 0,6 / 100 )</v>
      </c>
      <c r="B38" s="38">
        <f ca="1">Taul2!B52</f>
        <v>0</v>
      </c>
    </row>
    <row r="39" spans="1:2">
      <c r="A39" s="39" t="s">
        <v>42</v>
      </c>
      <c r="B39" s="40">
        <f ca="1">B37+B38</f>
        <v>0</v>
      </c>
    </row>
    <row r="40" spans="1:2">
      <c r="A40" s="59" t="s">
        <v>44</v>
      </c>
      <c r="B40" s="59"/>
    </row>
    <row r="41" spans="1:2">
      <c r="A41" s="36" t="s">
        <v>47</v>
      </c>
      <c r="B41" s="57"/>
    </row>
    <row r="42" spans="1:2">
      <c r="A42" s="36" t="s">
        <v>43</v>
      </c>
      <c r="B42" s="58"/>
    </row>
    <row r="43" spans="1:2">
      <c r="A43" s="41" t="str">
        <f>Taul2!A55</f>
        <v>Lomakorvaus tuntipalkkaiselle; 14 päivän ansaintasääntö ( =0 * 0 / 0 )</v>
      </c>
      <c r="B43" s="42">
        <f>Taul2!B55</f>
        <v>0</v>
      </c>
    </row>
    <row r="44" spans="1:2">
      <c r="A44" s="41" t="str">
        <f ca="1">Taul2!A56</f>
        <v>Työnantajan sosiaalivakuutusmaksut lomakorvauksesta (= 0 * 0,6 / 100 )</v>
      </c>
      <c r="B44" s="42">
        <f ca="1">Taul2!B56</f>
        <v>0</v>
      </c>
    </row>
    <row r="45" spans="1:2">
      <c r="A45" s="43" t="s">
        <v>42</v>
      </c>
      <c r="B45" s="44">
        <f ca="1">B43+B44</f>
        <v>0</v>
      </c>
    </row>
    <row r="46" spans="1:2">
      <c r="A46" s="45" t="str">
        <f>Taul2!A57</f>
        <v>Prosenttiperusteinen lomakorvaus, 35 tunnin ansaintasääntö (= 0 * 9 /100 )</v>
      </c>
      <c r="B46" s="46">
        <f>Taul2!B57</f>
        <v>0</v>
      </c>
    </row>
    <row r="47" spans="1:2">
      <c r="A47" s="45" t="str">
        <f ca="1">Taul2!A58</f>
        <v>Työnantajan sosiaalivakuutusmaksut lomakorvauksesta (= 0 * 0,6 / 100 )</v>
      </c>
      <c r="B47" s="46">
        <f ca="1">Taul2!B58</f>
        <v>0</v>
      </c>
    </row>
    <row r="48" spans="1:2">
      <c r="A48" s="47" t="s">
        <v>42</v>
      </c>
      <c r="B48" s="48">
        <f ca="1">B46+B47</f>
        <v>0</v>
      </c>
    </row>
  </sheetData>
  <sheetProtection algorithmName="SHA-512" hashValue="aUpU/fEr/1xGP6IPblNKSST9QfuIT2Ugp30yeu77qE0OqCrMyuMS2m4A8rpesLBDOVNCoQ4hiNEXySuacZQjqg==" saltValue="OBRc/jVl7p/csKD9WC14Tg==" spinCount="100000" sheet="1" objects="1" scenarios="1"/>
  <mergeCells count="7">
    <mergeCell ref="A1:B1"/>
    <mergeCell ref="A40:B40"/>
    <mergeCell ref="A35:B35"/>
    <mergeCell ref="A33:B33"/>
    <mergeCell ref="A17:B17"/>
    <mergeCell ref="A8:B8"/>
    <mergeCell ref="A21:B21"/>
  </mergeCells>
  <dataValidations count="8">
    <dataValidation type="list" allowBlank="1" showInputMessage="1" showErrorMessage="1" prompt="1 = sopimustyönantaja_x000a_2 = tilapäinen työnantaja" sqref="B19" xr:uid="{C841D2E1-0F84-A14A-8198-B69DECCD1AE4}">
      <formula1>"1,2"</formula1>
    </dataValidation>
    <dataValidation allowBlank="1" showInputMessage="1" showErrorMessage="1" prompt="Korkeampi maksuprosentti, jos vuosikohtainen palkkasummaraja ylittyy." sqref="B18" xr:uid="{47B71981-538E-5F42-AF2F-4A64434799B9}"/>
    <dataValidation type="decimal" allowBlank="1" showInputMessage="1" showErrorMessage="1" error="Prosentti voi olla väliltä 0 - 10." sqref="B20" xr:uid="{DB037529-61A7-3A42-8A79-EB3572C578B6}">
      <formula1>0</formula1>
      <formula2>10</formula2>
    </dataValidation>
    <dataValidation allowBlank="1" showInputMessage="1" showErrorMessage="1" prompt="Ei maksuvelvollisuutta, jos työnantajan koko vuoden palkkasumma on alle 1 500 euroa." sqref="A18 A20" xr:uid="{0CB29C76-BA45-C042-9C8C-C6402A455BA4}"/>
    <dataValidation type="date" allowBlank="1" showInputMessage="1" showErrorMessage="1" error="Palkanmaksupäivä voi olla ajalla 1.1.2022 - 31.12.2025." sqref="B3" xr:uid="{C33C4DE2-BAA2-944B-860E-5BF4440E3988}">
      <formula1>44562</formula1>
      <formula2>46022</formula2>
    </dataValidation>
    <dataValidation type="decimal" allowBlank="1" showInputMessage="1" showErrorMessage="1" error="Ennakonpidätys on välillä 0 - 70 %." sqref="B7" xr:uid="{C98E76FE-6E2D-494A-9C34-F535799CFDE5}">
      <formula1>0</formula1>
      <formula2>70</formula2>
    </dataValidation>
    <dataValidation allowBlank="1" showInputMessage="1" showErrorMessage="1" prompt="Laskelmassa otetaan huomioon työnantajan kustannuksena. Verotusarvoa käytetään, jos solu nolla tai tyhjä." sqref="B6" xr:uid="{E3883B9A-8BDF-CA43-8BC9-F8E3C1F99B8E}"/>
    <dataValidation allowBlank="1" showInputMessage="1" showErrorMessage="1" prompt="Verotusarvot ovat ennakonpidätyksen ja sosiaalivakuutusmaksujen laskentaperusteena. " sqref="B5" xr:uid="{D697FA14-B852-1246-93DE-960F38C25ACD}"/>
  </dataValidations>
  <pageMargins left="0.25" right="0.25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F7FD-2E6B-BF48-9BD9-72EE0F185A97}">
  <dimension ref="A1:Q58"/>
  <sheetViews>
    <sheetView zoomScale="199" zoomScaleNormal="197" workbookViewId="0">
      <selection activeCell="A15" sqref="A15"/>
    </sheetView>
  </sheetViews>
  <sheetFormatPr baseColWidth="10" defaultRowHeight="16"/>
  <cols>
    <col min="1" max="1" width="62.1640625" customWidth="1"/>
    <col min="2" max="2" width="26.1640625" style="7" customWidth="1"/>
    <col min="4" max="5" width="12.6640625" bestFit="1" customWidth="1"/>
  </cols>
  <sheetData>
    <row r="1" spans="1:17">
      <c r="A1" t="s">
        <v>0</v>
      </c>
      <c r="D1" s="1">
        <f>IF(MONTH(Taul1!B2)&gt;1, DATE(YEAR(Taul1!B2)+16, MONTH(Taul1!B2)+1, 1), DATE(YEAR(Taul1!B2)+16, 2, 1))</f>
        <v>5876</v>
      </c>
      <c r="E1" t="s">
        <v>9</v>
      </c>
      <c r="N1">
        <f>B49</f>
        <v>0</v>
      </c>
      <c r="O1" s="18">
        <f>VLOOKUP(N1,P1:Q31,2,FALSE)</f>
        <v>0</v>
      </c>
      <c r="P1" s="19">
        <v>0</v>
      </c>
      <c r="Q1" s="19">
        <v>0</v>
      </c>
    </row>
    <row r="2" spans="1:17">
      <c r="A2" t="s">
        <v>1</v>
      </c>
      <c r="B2" s="9">
        <f>Taul1!B2</f>
        <v>0</v>
      </c>
      <c r="D2" s="1">
        <f>IF(MONTH(Taul1!B2)&gt;1, DATE(YEAR(Taul1!B2)+17, MONTH(Taul1!B2)+1, 1), DATE(YEAR(Taul1!B2)+17, 2, 1))</f>
        <v>6242</v>
      </c>
      <c r="E2" t="s">
        <v>5</v>
      </c>
      <c r="P2" s="16">
        <v>2</v>
      </c>
      <c r="Q2" s="17">
        <v>1.8</v>
      </c>
    </row>
    <row r="3" spans="1:17">
      <c r="A3" t="s">
        <v>4</v>
      </c>
      <c r="B3" s="9">
        <f>Taul1!B3</f>
        <v>0</v>
      </c>
      <c r="D3" s="1">
        <f>IF(MONTH(Taul1!B2)&gt;1, DATE(YEAR(Taul1!B2)+18, MONTH(Taul1!B2)+1, 1), DATE(YEAR(Taul1!B2)+18, 2, 1))</f>
        <v>6607</v>
      </c>
      <c r="E3" t="s">
        <v>10</v>
      </c>
      <c r="P3" s="16">
        <v>3</v>
      </c>
      <c r="Q3" s="17">
        <v>2.7</v>
      </c>
    </row>
    <row r="4" spans="1:17">
      <c r="A4" t="s">
        <v>2</v>
      </c>
      <c r="B4" s="10">
        <f>Taul1!B4</f>
        <v>0</v>
      </c>
      <c r="D4" s="1">
        <f>IF(MONTH(Taul1!B2)&gt;1, DATE(YEAR(Taul1!B2)+52, MONTH(Taul1!B2)+1, 1), DATE(YEAR(Taul1!B2)+52, 2, 1))</f>
        <v>19025</v>
      </c>
      <c r="E4" t="s">
        <v>6</v>
      </c>
      <c r="P4" s="16">
        <v>4</v>
      </c>
      <c r="Q4" s="17">
        <v>3.6</v>
      </c>
    </row>
    <row r="5" spans="1:17">
      <c r="A5" s="22" t="s">
        <v>46</v>
      </c>
      <c r="B5" s="10">
        <f>Taul1!B5</f>
        <v>0</v>
      </c>
      <c r="D5" s="1">
        <f>EOMONTH(DATE(YEAR(Taul1!B2)+62,MONTH(Taul1!B2),1),0)</f>
        <v>22677</v>
      </c>
      <c r="E5" t="s">
        <v>7</v>
      </c>
      <c r="P5" s="16">
        <v>5</v>
      </c>
      <c r="Q5" s="17">
        <v>4.5</v>
      </c>
    </row>
    <row r="6" spans="1:17">
      <c r="A6" s="24" t="s">
        <v>45</v>
      </c>
      <c r="B6" s="10">
        <f>Taul1!B6</f>
        <v>0</v>
      </c>
      <c r="C6" s="25">
        <f>IF(OR(B6=0,B6=""),B5,B6)</f>
        <v>0</v>
      </c>
      <c r="D6" s="1">
        <f>EOMONTH(DATE(YEAR(Taul1!B2)+64,MONTH(Taul1!B2),1),0)</f>
        <v>23407</v>
      </c>
      <c r="E6" t="s">
        <v>11</v>
      </c>
      <c r="P6" s="16">
        <v>6</v>
      </c>
      <c r="Q6" s="17">
        <v>5.4</v>
      </c>
    </row>
    <row r="7" spans="1:17">
      <c r="A7" t="s">
        <v>3</v>
      </c>
      <c r="B7" s="10">
        <f>Taul1!B7</f>
        <v>0</v>
      </c>
      <c r="D7" s="1">
        <f>EOMONTH(DATE(YEAR(Taul1!B2)+67,MONTH(Taul1!B2),1),0)</f>
        <v>24503</v>
      </c>
      <c r="E7" t="s">
        <v>8</v>
      </c>
      <c r="P7" s="16">
        <v>7</v>
      </c>
      <c r="Q7" s="17">
        <v>6.3</v>
      </c>
    </row>
    <row r="8" spans="1:17">
      <c r="A8" t="s">
        <v>12</v>
      </c>
      <c r="C8">
        <f>IF(AND(B3&gt;=D1,B3&lt;=D6),A31,0)</f>
        <v>0</v>
      </c>
      <c r="P8" s="16">
        <v>8</v>
      </c>
      <c r="Q8" s="17">
        <v>7.2</v>
      </c>
    </row>
    <row r="9" spans="1:17">
      <c r="D9" s="2"/>
      <c r="H9" s="1">
        <f>EOMONTH(B2,1)</f>
        <v>59</v>
      </c>
      <c r="P9" s="16">
        <v>9</v>
      </c>
      <c r="Q9" s="17">
        <v>8.1</v>
      </c>
    </row>
    <row r="10" spans="1:17">
      <c r="A10" t="str">
        <f>CONCATENATE("Ennakonpidätyksen alainen palkka (= ",B4," + ",B5,")",)</f>
        <v>Ennakonpidätyksen alainen palkka (= 0 + 0)</v>
      </c>
      <c r="B10" s="10">
        <f>B4+B5</f>
        <v>0</v>
      </c>
      <c r="P10" s="16">
        <v>10</v>
      </c>
      <c r="Q10" s="17">
        <v>9</v>
      </c>
    </row>
    <row r="11" spans="1:17">
      <c r="A11" t="str">
        <f>CONCATENATE("./. Ennakonpidätys (= ",B10," * ",B7/100,")",)</f>
        <v>./. Ennakonpidätys (= 0 * 0)</v>
      </c>
      <c r="B11" s="7">
        <f>B10*B7/100</f>
        <v>0</v>
      </c>
      <c r="P11" s="16">
        <v>11</v>
      </c>
      <c r="Q11" s="17">
        <v>9.9</v>
      </c>
    </row>
    <row r="12" spans="1:17">
      <c r="A12" t="str">
        <f>CONCATENATE("./. Eläkemaksu (= ",B10," * ",E12,")",)</f>
        <v>./. Eläkemaksu (= 0 * 0)</v>
      </c>
      <c r="B12" s="7">
        <f>ROUND(B4*E12/100,2)</f>
        <v>0</v>
      </c>
      <c r="E12">
        <f>IF(AND(B3&gt;=D2,B3&lt;=D7),IF(AND(B3&gt;=D4,B3&lt;=D5),A39,A38),0)</f>
        <v>0</v>
      </c>
      <c r="P12" s="16">
        <v>12</v>
      </c>
      <c r="Q12" s="17">
        <v>10.8</v>
      </c>
    </row>
    <row r="13" spans="1:17">
      <c r="A13" t="str">
        <f>CONCATENATE("./. Työttömyysvakuutusmaksu (= ",B10," * ",D13,")",)</f>
        <v>./. Työttömyysvakuutusmaksu (= 0 * 0)</v>
      </c>
      <c r="B13" s="7">
        <f>ROUND(B4*D13/100,2)</f>
        <v>0</v>
      </c>
      <c r="D13">
        <f>IF(AND(B3&gt;=D3,B3&lt;=D6),A32,0)</f>
        <v>0</v>
      </c>
      <c r="P13" s="16">
        <v>13</v>
      </c>
      <c r="Q13" s="17">
        <v>11.8</v>
      </c>
    </row>
    <row r="14" spans="1:17">
      <c r="A14" t="str">
        <f>CONCATENATE("= Vähennykset yhteensä (= ",B11," + ",B12," + ",B13,")",)</f>
        <v>= Vähennykset yhteensä (= 0 + 0 + 0)</v>
      </c>
      <c r="B14" s="7">
        <f>SUM(B11:B13)</f>
        <v>0</v>
      </c>
      <c r="H14">
        <f ca="1">IF(D20=1,A41,A42)</f>
        <v>26.12</v>
      </c>
      <c r="I14" t="str">
        <f ca="1">CONCATENATE("Eläkevakuutusmaksu (työnantajan maksuosuus = ",B10," * (",A41," - ",E12," )",)</f>
        <v>Eläkevakuutusmaksu (työnantajan maksuosuus = 0 * (26,12 - 0 )</v>
      </c>
      <c r="P14" s="16">
        <v>14</v>
      </c>
      <c r="Q14" s="17">
        <v>12.7</v>
      </c>
    </row>
    <row r="15" spans="1:17" ht="18">
      <c r="A15" t="s">
        <v>27</v>
      </c>
      <c r="B15" s="10">
        <f>B4</f>
        <v>0</v>
      </c>
      <c r="D15" s="3"/>
      <c r="I15" t="str">
        <f ca="1">CONCATENATE("Eläkevakuutusmaksu (työnantajan maksuosuus = ",B10," * (",F17," - ",E12," )",)</f>
        <v>Eläkevakuutusmaksu (työnantajan maksuosuus = 0 * (24,81 - 0 )</v>
      </c>
      <c r="P15" s="16">
        <v>15</v>
      </c>
      <c r="Q15" s="17">
        <v>13.6</v>
      </c>
    </row>
    <row r="16" spans="1:17">
      <c r="A16" t="str">
        <f>IF(OR(B4=0,B4=""),"Ei rahapalkkaa",CONCATENATE("Maksettava rahapalkka (= ",B4," - ",B11," - ",B12," - ",B13,")"))</f>
        <v>Ei rahapalkkaa</v>
      </c>
      <c r="B16" s="10">
        <f>IF(OR(B4=0,B4=""),0,(B4-B14))</f>
        <v>0</v>
      </c>
      <c r="F16">
        <f ca="1">A41</f>
        <v>26.12</v>
      </c>
      <c r="I16" t="str">
        <f ca="1">IF(D20=2,I14,I15)</f>
        <v>Eläkevakuutusmaksu (työnantajan maksuosuus = 0 * (24,81 - 0 )</v>
      </c>
      <c r="P16" s="16">
        <v>16</v>
      </c>
      <c r="Q16" s="17">
        <v>14.5</v>
      </c>
    </row>
    <row r="17" spans="1:17">
      <c r="A17" t="str">
        <f>IF(OR(B4=0,B4=""),"Ei rahapalkkaa",CONCATENATE("Työntekijälle maksettava nettorahapalkka (= ",B4," - ",B11," - ",B12," - ",B13,")"))</f>
        <v>Ei rahapalkkaa</v>
      </c>
      <c r="D17" s="4"/>
      <c r="F17">
        <f ca="1">A42</f>
        <v>24.81</v>
      </c>
      <c r="I17" t="s">
        <v>40</v>
      </c>
      <c r="P17" s="16">
        <v>17</v>
      </c>
      <c r="Q17" s="17">
        <v>15.5</v>
      </c>
    </row>
    <row r="18" spans="1:17">
      <c r="P18" s="16">
        <v>18</v>
      </c>
      <c r="Q18" s="17">
        <v>16.399999999999999</v>
      </c>
    </row>
    <row r="19" spans="1:17">
      <c r="A19" t="str">
        <f>IF(E19=1,CONCATENATE("Sairausvakuutusmaksu (= ",B10," * ",A31,")",),"Ei sairausvakuutusmaksua")</f>
        <v>Ei sairausvakuutusmaksua</v>
      </c>
      <c r="B19" s="7">
        <f>IF(E19=1,D19,0)</f>
        <v>0</v>
      </c>
      <c r="C19">
        <f ca="1">A31</f>
        <v>1.1599999999999999</v>
      </c>
      <c r="D19" s="7">
        <f ca="1">ROUND(B10*A31/100,2)</f>
        <v>0</v>
      </c>
      <c r="E19">
        <f>IF(AND(B3&gt;=D1,B3&lt;=D7),1,0)</f>
        <v>0</v>
      </c>
      <c r="J19">
        <f>IF(E19=1,C19,0)</f>
        <v>0</v>
      </c>
      <c r="P19" s="16">
        <v>19</v>
      </c>
      <c r="Q19" s="17">
        <v>17.399999999999999</v>
      </c>
    </row>
    <row r="20" spans="1:17">
      <c r="A20" t="str">
        <f>IF(H20=0,I17,I16)</f>
        <v>Ei eläkevakuutusmaksua</v>
      </c>
      <c r="B20" s="7">
        <f>ROUND(B10*H20/100,2)</f>
        <v>0</v>
      </c>
      <c r="C20">
        <f>G20</f>
        <v>0</v>
      </c>
      <c r="D20">
        <f>Taul1!B19</f>
        <v>1</v>
      </c>
      <c r="E20">
        <f>IF(E12=0,0,(A42-E12))</f>
        <v>0</v>
      </c>
      <c r="F20">
        <f>IF(E12=0,0,A42)</f>
        <v>0</v>
      </c>
      <c r="G20">
        <f>IF(D20=2,A41-E12,F20-E12)</f>
        <v>0</v>
      </c>
      <c r="H20" s="20">
        <f>IF(AND(B3&gt;=D2,B3&lt;=D7),G20,0)</f>
        <v>0</v>
      </c>
      <c r="J20">
        <f>H20</f>
        <v>0</v>
      </c>
      <c r="P20" s="16">
        <v>20</v>
      </c>
      <c r="Q20" s="17">
        <v>18.3</v>
      </c>
    </row>
    <row r="21" spans="1:17">
      <c r="A21" t="str">
        <f>IF(H21=1,CONCATENATE("Työttömyysvakuutusmaksu (= ",B10," * ",I21,")"),"Ei työttömyysvakuutusmaksua")</f>
        <v>Ei työttömyysvakuutusmaksua</v>
      </c>
      <c r="B21" s="7">
        <f>IF(H21=1,G21,0)</f>
        <v>0</v>
      </c>
      <c r="C21">
        <f ca="1">A34</f>
        <v>0.27</v>
      </c>
      <c r="D21">
        <f ca="1">A36</f>
        <v>1.0900000000000001</v>
      </c>
      <c r="E21" s="15">
        <f>Taul1!B18</f>
        <v>0</v>
      </c>
      <c r="F21">
        <f ca="1">IF(E21&gt;A35,B10*A36/100,B10*A34/100)</f>
        <v>0</v>
      </c>
      <c r="G21" s="7">
        <f ca="1">ROUND(F21,2)</f>
        <v>0</v>
      </c>
      <c r="H21">
        <f>IF(AND(B3&gt;=D3,B3&lt;=D6),1,0)</f>
        <v>0</v>
      </c>
      <c r="I21">
        <f ca="1">IF(E21&gt;A35,A36,A34)</f>
        <v>0.27</v>
      </c>
      <c r="J21">
        <f>IF(H21=1,I21,0)</f>
        <v>0</v>
      </c>
      <c r="P21" s="16">
        <v>21</v>
      </c>
      <c r="Q21" s="17">
        <v>19.3</v>
      </c>
    </row>
    <row r="22" spans="1:17">
      <c r="A22" t="str">
        <f ca="1">CONCATENATE("Työtapaturmavakuutusmaksu (= ",B10," * ",C22," %)",)</f>
        <v>Työtapaturmavakuutusmaksu (= 0 * 0,54 %)</v>
      </c>
      <c r="B22" s="7">
        <f ca="1">ROUND(B10*C22/100,2)</f>
        <v>0</v>
      </c>
      <c r="C22">
        <f ca="1">IF(OR(D22=A44,D22=0,D22=""),A44,D22)</f>
        <v>0.54</v>
      </c>
      <c r="D22">
        <f>Taul1!B20</f>
        <v>0</v>
      </c>
      <c r="J22">
        <f ca="1">C22</f>
        <v>0.54</v>
      </c>
      <c r="P22" s="16">
        <v>22</v>
      </c>
      <c r="Q22" s="17">
        <v>20.3</v>
      </c>
    </row>
    <row r="23" spans="1:17">
      <c r="A23" t="str">
        <f ca="1">CONCATENATE("Ryhmähenkivakuutusmaksu (= ",B10," * ",A45," %)",)</f>
        <v>Ryhmähenkivakuutusmaksu (= 0 * 0,06 %)</v>
      </c>
      <c r="B23" s="7">
        <f ca="1">B10*A45/100</f>
        <v>0</v>
      </c>
      <c r="C23">
        <f ca="1">A45</f>
        <v>0.06</v>
      </c>
      <c r="J23">
        <f ca="1">C23</f>
        <v>0.06</v>
      </c>
      <c r="P23" s="16">
        <v>23</v>
      </c>
      <c r="Q23" s="17">
        <v>21.3</v>
      </c>
    </row>
    <row r="24" spans="1:17">
      <c r="A24" t="s">
        <v>39</v>
      </c>
      <c r="C24" s="14">
        <f ca="1">SUM(C19:C23)</f>
        <v>2.0299999999999998</v>
      </c>
      <c r="J24" s="23">
        <f ca="1">SUM(J19:J23)</f>
        <v>0.60000000000000009</v>
      </c>
      <c r="P24" s="16">
        <v>24</v>
      </c>
      <c r="Q24" s="17">
        <v>22.2</v>
      </c>
    </row>
    <row r="25" spans="1:17">
      <c r="P25" s="16">
        <v>25</v>
      </c>
      <c r="Q25" s="17">
        <v>23.2</v>
      </c>
    </row>
    <row r="26" spans="1:17">
      <c r="P26" s="16">
        <v>26</v>
      </c>
      <c r="Q26" s="17">
        <v>24.1</v>
      </c>
    </row>
    <row r="27" spans="1:17">
      <c r="A27" s="1"/>
      <c r="P27" s="16">
        <v>27</v>
      </c>
      <c r="Q27" s="17">
        <v>25</v>
      </c>
    </row>
    <row r="28" spans="1:17">
      <c r="A28">
        <f ca="1">YEAR(TODAY())</f>
        <v>2024</v>
      </c>
      <c r="P28" s="16">
        <v>28</v>
      </c>
      <c r="Q28" s="17">
        <v>25.9</v>
      </c>
    </row>
    <row r="29" spans="1:17">
      <c r="A29">
        <f ca="1">IF(OR(B3&gt;0,B3=""),YEAR(B3),A28)</f>
        <v>2024</v>
      </c>
      <c r="P29" s="16">
        <v>29</v>
      </c>
      <c r="Q29" s="17">
        <v>26.9</v>
      </c>
    </row>
    <row r="30" spans="1:17">
      <c r="A30" s="13">
        <f ca="1">A29-2019+2</f>
        <v>7</v>
      </c>
      <c r="C30" s="5">
        <v>2019</v>
      </c>
      <c r="D30" s="5">
        <v>2020</v>
      </c>
      <c r="E30" s="5">
        <v>2021</v>
      </c>
      <c r="F30" s="5">
        <v>2022</v>
      </c>
      <c r="G30" s="5">
        <v>2023</v>
      </c>
      <c r="H30" s="5">
        <v>2024</v>
      </c>
      <c r="I30" s="5">
        <v>2025</v>
      </c>
      <c r="J30" s="5">
        <v>2026</v>
      </c>
      <c r="K30" s="5">
        <v>2027</v>
      </c>
      <c r="L30" s="5">
        <v>2028</v>
      </c>
      <c r="M30" s="5">
        <v>2029</v>
      </c>
      <c r="N30" s="5">
        <v>2030</v>
      </c>
      <c r="P30" s="16">
        <v>30</v>
      </c>
      <c r="Q30" s="17">
        <v>27.8</v>
      </c>
    </row>
    <row r="31" spans="1:17">
      <c r="A31" cm="1">
        <f t="array" aca="1" ref="A31" ca="1">INDEX($B$30:$N$43,2,$A$30)</f>
        <v>1.1599999999999999</v>
      </c>
      <c r="B31" s="7" t="s">
        <v>13</v>
      </c>
      <c r="C31">
        <v>0.77</v>
      </c>
      <c r="D31">
        <v>1.34</v>
      </c>
      <c r="E31">
        <v>1.53</v>
      </c>
      <c r="F31">
        <v>1.34</v>
      </c>
      <c r="G31">
        <v>1.53</v>
      </c>
      <c r="H31" s="6">
        <v>1.1599999999999999</v>
      </c>
      <c r="I31">
        <v>1.87</v>
      </c>
    </row>
    <row r="32" spans="1:17">
      <c r="A32" cm="1">
        <f t="array" aca="1" ref="A32" ca="1">INDEX($B$30:$N$43,3,$A$30)</f>
        <v>0.79</v>
      </c>
      <c r="B32" s="7" t="s">
        <v>14</v>
      </c>
      <c r="C32" s="6">
        <v>1.5</v>
      </c>
      <c r="D32" s="6">
        <v>1.25</v>
      </c>
      <c r="E32" s="6">
        <v>1.4</v>
      </c>
      <c r="F32" s="6">
        <v>1.5</v>
      </c>
      <c r="G32" s="6">
        <v>1.5</v>
      </c>
      <c r="H32" s="6">
        <v>0.79</v>
      </c>
      <c r="I32" s="6">
        <v>0.59</v>
      </c>
    </row>
    <row r="33" spans="1:10">
      <c r="A33" cm="1">
        <f t="array" aca="1" ref="A33" ca="1">INDEX($B$30:$N$43,4,$A$30)</f>
        <v>0.43</v>
      </c>
      <c r="B33" s="7" t="s">
        <v>15</v>
      </c>
      <c r="C33" s="6">
        <v>0.78</v>
      </c>
      <c r="D33" s="6">
        <v>0.65</v>
      </c>
      <c r="E33" s="6">
        <v>0.65</v>
      </c>
      <c r="F33" s="6">
        <v>0.74</v>
      </c>
      <c r="G33" s="6">
        <v>0.75</v>
      </c>
      <c r="H33" s="6">
        <v>0.43</v>
      </c>
      <c r="I33" s="6">
        <v>0.3</v>
      </c>
    </row>
    <row r="34" spans="1:10">
      <c r="A34" cm="1">
        <f t="array" aca="1" ref="A34" ca="1">INDEX($B$30:$N$43,5,$A$30)</f>
        <v>0.27</v>
      </c>
      <c r="B34" s="7" t="s">
        <v>16</v>
      </c>
      <c r="C34" s="6">
        <v>0.5</v>
      </c>
      <c r="D34" s="6">
        <v>0.45</v>
      </c>
      <c r="E34" s="6">
        <v>0.5</v>
      </c>
      <c r="F34" s="6">
        <v>0.5</v>
      </c>
      <c r="G34" s="6">
        <v>0.52</v>
      </c>
      <c r="H34" s="6">
        <v>0.27</v>
      </c>
      <c r="I34" s="6">
        <v>0.2</v>
      </c>
    </row>
    <row r="35" spans="1:10">
      <c r="A35" cm="1">
        <f t="array" aca="1" ref="A35" ca="1">INDEX($B$30:$N$43,6,$A$30)</f>
        <v>2337000</v>
      </c>
      <c r="B35" s="7" t="s">
        <v>17</v>
      </c>
      <c r="C35" s="8">
        <v>2086500</v>
      </c>
      <c r="D35" s="8">
        <v>2125500</v>
      </c>
      <c r="E35" s="8">
        <v>2169500</v>
      </c>
      <c r="F35" s="8">
        <v>2197500</v>
      </c>
      <c r="G35" s="8">
        <v>2251500</v>
      </c>
      <c r="H35" s="8">
        <v>2337000</v>
      </c>
      <c r="I35" s="8">
        <v>2455500</v>
      </c>
    </row>
    <row r="36" spans="1:10">
      <c r="A36" cm="1">
        <f t="array" aca="1" ref="A36" ca="1">INDEX($B$30:$N$43,7,$A$30)</f>
        <v>1.0900000000000001</v>
      </c>
      <c r="B36" s="7" t="s">
        <v>18</v>
      </c>
      <c r="C36" s="6">
        <v>2.0499999999999998</v>
      </c>
      <c r="D36" s="6">
        <v>1.7</v>
      </c>
      <c r="E36" s="6">
        <v>1.9</v>
      </c>
      <c r="F36" s="6">
        <v>2.0499999999999998</v>
      </c>
      <c r="G36" s="6">
        <v>2.06</v>
      </c>
      <c r="H36" s="6">
        <v>1.0900000000000001</v>
      </c>
      <c r="I36" s="6">
        <v>0.8</v>
      </c>
    </row>
    <row r="37" spans="1:10">
      <c r="A37" cm="1">
        <f t="array" aca="1" ref="A37" ca="1">INDEX($B$30:$N$43,8,$A$30)</f>
        <v>0.27</v>
      </c>
      <c r="B37" s="7" t="s">
        <v>19</v>
      </c>
      <c r="C37" s="6">
        <v>0.5</v>
      </c>
      <c r="D37" s="6">
        <v>0.45</v>
      </c>
      <c r="E37" s="6">
        <v>0.5</v>
      </c>
      <c r="F37" s="6">
        <v>0.5</v>
      </c>
      <c r="G37" s="6">
        <v>0.52</v>
      </c>
      <c r="H37" s="6">
        <v>0.27</v>
      </c>
      <c r="I37" s="6">
        <v>0.2</v>
      </c>
    </row>
    <row r="38" spans="1:10">
      <c r="A38" cm="1">
        <f t="array" aca="1" ref="A38" ca="1">INDEX($B$30:$N$43,9,$A$30)</f>
        <v>7.15</v>
      </c>
      <c r="B38" s="6" t="s">
        <v>20</v>
      </c>
      <c r="C38" s="12">
        <v>6.75</v>
      </c>
      <c r="D38" s="12">
        <v>7.15</v>
      </c>
      <c r="E38" s="6">
        <v>7.15</v>
      </c>
      <c r="F38" s="6">
        <v>7.15</v>
      </c>
      <c r="G38" s="6">
        <v>7.15</v>
      </c>
      <c r="H38" s="6">
        <v>7.15</v>
      </c>
      <c r="I38" s="6">
        <v>7.15</v>
      </c>
      <c r="J38" s="11"/>
    </row>
    <row r="39" spans="1:10">
      <c r="A39" cm="1">
        <f t="array" aca="1" ref="A39" ca="1">INDEX($B$30:$N$43,10,$A$30)</f>
        <v>8.65</v>
      </c>
      <c r="B39" s="6" t="s">
        <v>21</v>
      </c>
      <c r="C39" s="12">
        <v>8.25</v>
      </c>
      <c r="D39" s="12">
        <v>8.65</v>
      </c>
      <c r="E39" s="6">
        <v>8.65</v>
      </c>
      <c r="F39" s="6">
        <v>8.65</v>
      </c>
      <c r="G39" s="6">
        <v>8.65</v>
      </c>
      <c r="H39" s="6">
        <v>8.65</v>
      </c>
      <c r="I39" s="6">
        <v>8.65</v>
      </c>
      <c r="J39" s="11"/>
    </row>
    <row r="40" spans="1:10">
      <c r="A40" cm="1">
        <f t="array" aca="1" ref="A40" ca="1">INDEX($B$30:$N$43,11,$A$30)</f>
        <v>7.15</v>
      </c>
      <c r="B40" s="6" t="s">
        <v>22</v>
      </c>
      <c r="C40" s="12">
        <v>6.75</v>
      </c>
      <c r="D40" s="12">
        <v>7.15</v>
      </c>
      <c r="E40" s="6">
        <v>7.15</v>
      </c>
      <c r="F40" s="6">
        <v>7.15</v>
      </c>
      <c r="G40" s="6">
        <v>7.15</v>
      </c>
      <c r="H40" s="6">
        <v>7.15</v>
      </c>
      <c r="I40" s="6">
        <v>7.15</v>
      </c>
      <c r="J40" s="6"/>
    </row>
    <row r="41" spans="1:10">
      <c r="A41" cm="1">
        <f t="array" aca="1" ref="A41" ca="1">INDEX($B$30:$N$43,12,$A$30)</f>
        <v>26.12</v>
      </c>
      <c r="B41" t="s">
        <v>23</v>
      </c>
      <c r="C41">
        <v>25.2</v>
      </c>
      <c r="D41">
        <v>25.3</v>
      </c>
      <c r="E41">
        <v>24.8</v>
      </c>
      <c r="F41">
        <v>25.85</v>
      </c>
      <c r="G41">
        <v>26.2</v>
      </c>
      <c r="H41">
        <v>26.12</v>
      </c>
      <c r="I41">
        <v>26.28</v>
      </c>
    </row>
    <row r="42" spans="1:10">
      <c r="A42" cm="1">
        <f t="array" aca="1" ref="A42" ca="1">INDEX($B$30:$N$43,13,$A$30)</f>
        <v>24.81</v>
      </c>
      <c r="B42" t="s">
        <v>24</v>
      </c>
      <c r="C42">
        <v>24.4</v>
      </c>
      <c r="D42">
        <v>24.4</v>
      </c>
      <c r="E42">
        <v>24.4</v>
      </c>
      <c r="F42">
        <v>24.85</v>
      </c>
      <c r="G42">
        <v>24.84</v>
      </c>
      <c r="H42">
        <v>24.81</v>
      </c>
      <c r="I42">
        <v>24.85</v>
      </c>
    </row>
    <row r="43" spans="1:10">
      <c r="A43" cm="1">
        <f t="array" aca="1" ref="A43" ca="1">INDEX($B$30:$N$43,14,$A$30)</f>
        <v>17.34</v>
      </c>
      <c r="B43" t="s">
        <v>25</v>
      </c>
      <c r="C43">
        <v>17.350000000000001</v>
      </c>
      <c r="D43">
        <v>16.95</v>
      </c>
      <c r="E43">
        <v>16.95</v>
      </c>
      <c r="F43">
        <v>17.399999999999999</v>
      </c>
      <c r="G43">
        <v>17.39</v>
      </c>
      <c r="H43">
        <v>17.34</v>
      </c>
      <c r="I43">
        <v>17.38</v>
      </c>
    </row>
    <row r="44" spans="1:10">
      <c r="A44" cm="1">
        <f t="array" aca="1" ref="A44" ca="1">INDEX($B$30:$N$45,15,$A$30)</f>
        <v>0.54</v>
      </c>
      <c r="B44" s="7" t="s">
        <v>31</v>
      </c>
      <c r="C44">
        <v>0.54</v>
      </c>
      <c r="D44">
        <v>0.54</v>
      </c>
      <c r="E44">
        <v>0.54</v>
      </c>
      <c r="F44">
        <v>0.54</v>
      </c>
      <c r="G44">
        <v>0.54</v>
      </c>
      <c r="H44">
        <v>0.54</v>
      </c>
      <c r="I44">
        <v>0.54</v>
      </c>
    </row>
    <row r="45" spans="1:10">
      <c r="A45" cm="1">
        <f t="array" aca="1" ref="A45" ca="1">INDEX($B$30:$N$45,16,$A$30)</f>
        <v>0.06</v>
      </c>
      <c r="B45" s="7" t="s">
        <v>30</v>
      </c>
      <c r="C45">
        <v>0.06</v>
      </c>
      <c r="D45">
        <v>0.06</v>
      </c>
      <c r="E45">
        <v>0.06</v>
      </c>
      <c r="F45">
        <v>0.06</v>
      </c>
      <c r="G45">
        <v>0.06</v>
      </c>
      <c r="H45">
        <v>0.06</v>
      </c>
      <c r="I45">
        <v>0.06</v>
      </c>
    </row>
    <row r="47" spans="1:10">
      <c r="C47" s="21">
        <f ca="1">C24</f>
        <v>2.0299999999999998</v>
      </c>
    </row>
    <row r="48" spans="1:10">
      <c r="A48" t="s">
        <v>36</v>
      </c>
      <c r="B48" s="7">
        <f>2*B10/25</f>
        <v>0</v>
      </c>
    </row>
    <row r="49" spans="1:5">
      <c r="A49" t="s">
        <v>37</v>
      </c>
      <c r="B49" s="7">
        <f>Taul1!B34</f>
        <v>0</v>
      </c>
    </row>
    <row r="50" spans="1:5">
      <c r="A50" t="s">
        <v>38</v>
      </c>
      <c r="B50" s="7">
        <f>Taul1!B36</f>
        <v>0</v>
      </c>
    </row>
    <row r="51" spans="1:5">
      <c r="A51" t="str">
        <f>CONCATENATE("Lomakorvaus kuukausipalkkaiselle (= ",B49," * ",B50," / ",25,")",)</f>
        <v>Lomakorvaus kuukausipalkkaiselle (= 0 * 0 / 25)</v>
      </c>
      <c r="B51" s="7">
        <f>B49*B50/25</f>
        <v>0</v>
      </c>
    </row>
    <row r="52" spans="1:5">
      <c r="A52" t="str">
        <f ca="1">CONCATENATE("Työnantajan sosiaalivakuutusmaksut lomakorvauksesta (= ",B51," * ",J24," / ","100"," )",)</f>
        <v>Työnantajan sosiaalivakuutusmaksut lomakorvauksesta (= 0 * 0,6 / 100 )</v>
      </c>
      <c r="B52">
        <f ca="1">ROUND(B51*J24/100,2)</f>
        <v>0</v>
      </c>
    </row>
    <row r="53" spans="1:5">
      <c r="A53" t="str">
        <f>Taul1!A41</f>
        <v>Työsuhteen ajalta ansaittu palkkasumma</v>
      </c>
      <c r="B53">
        <f>Taul1!B41</f>
        <v>0</v>
      </c>
      <c r="E53" s="4"/>
    </row>
    <row r="54" spans="1:5">
      <c r="A54" t="str">
        <f>Taul1!A42</f>
        <v>Tehtyjen työpäivien lukumäärä työsuhteen ajalta (loman ansaintasääntö 14 päivää)</v>
      </c>
      <c r="B54">
        <f>Taul1!B42</f>
        <v>0</v>
      </c>
      <c r="D54">
        <f>IF(OR(B53=0,B54=0,B53="",B54=""),0,B53/B54)</f>
        <v>0</v>
      </c>
    </row>
    <row r="55" spans="1:5">
      <c r="A55" t="str">
        <f>CONCATENATE("Lomakorvaus tuntipalkkaiselle; 14 päivän ansaintasääntö ( =",D55," * ",B53," / ",B54," )",)</f>
        <v>Lomakorvaus tuntipalkkaiselle; 14 päivän ansaintasääntö ( =0 * 0 / 0 )</v>
      </c>
      <c r="B55" s="7">
        <f>ROUND(D54*D55,2)</f>
        <v>0</v>
      </c>
      <c r="C55">
        <f ca="1">ROUND(B55*C47/100,2)</f>
        <v>0</v>
      </c>
      <c r="D55" s="4">
        <f>O1</f>
        <v>0</v>
      </c>
    </row>
    <row r="56" spans="1:5">
      <c r="A56" t="str">
        <f ca="1">CONCATENATE("Työnantajan sosiaalivakuutusmaksut lomakorvauksesta (= ",B55," * ",J24," / ","100"," )",)</f>
        <v>Työnantajan sosiaalivakuutusmaksut lomakorvauksesta (= 0 * 0,6 / 100 )</v>
      </c>
      <c r="B56" s="7">
        <f ca="1">ROUND(B55*J24/100,2)</f>
        <v>0</v>
      </c>
      <c r="D56" s="4"/>
    </row>
    <row r="57" spans="1:5">
      <c r="A57" t="str">
        <f>CONCATENATE("Prosenttiperusteinen lomakorvaus, 35 tunnin ansaintasääntö (= ",B53," * ","9 /100"," )",)</f>
        <v>Prosenttiperusteinen lomakorvaus, 35 tunnin ansaintasääntö (= 0 * 9 /100 )</v>
      </c>
      <c r="B57" s="7">
        <f>B53*0.09</f>
        <v>0</v>
      </c>
      <c r="C57">
        <f ca="1">ROUND(B57*C47/100,2)</f>
        <v>0</v>
      </c>
    </row>
    <row r="58" spans="1:5">
      <c r="A58" t="str">
        <f ca="1">CONCATENATE("Työnantajan sosiaalivakuutusmaksut lomakorvauksesta (= ",B57," * ",J24," / ","100"," )",)</f>
        <v>Työnantajan sosiaalivakuutusmaksut lomakorvauksesta (= 0 * 0,6 / 100 )</v>
      </c>
      <c r="B58" s="7">
        <f ca="1">ROUND(B57*J24/100,2)</f>
        <v>0</v>
      </c>
    </row>
  </sheetData>
  <sortState xmlns:xlrd2="http://schemas.microsoft.com/office/spreadsheetml/2017/richdata2" columnSort="1" ref="C30:I43">
    <sortCondition ref="C30:I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Kondelin</dc:creator>
  <cp:lastModifiedBy>Antti Kondelin</cp:lastModifiedBy>
  <dcterms:created xsi:type="dcterms:W3CDTF">2024-11-27T14:06:09Z</dcterms:created>
  <dcterms:modified xsi:type="dcterms:W3CDTF">2024-12-19T13:51:55Z</dcterms:modified>
</cp:coreProperties>
</file>